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extileProd" sheetId="1" r:id="rId1"/>
    <sheet name="Says2" sheetId="2" r:id="rId2"/>
    <sheet name="AntwerpMarket" sheetId="3" r:id="rId3"/>
  </sheets>
  <definedNames/>
  <calcPr fullCalcOnLoad="1"/>
</workbook>
</file>

<file path=xl/sharedStrings.xml><?xml version="1.0" encoding="utf-8"?>
<sst xmlns="http://schemas.openxmlformats.org/spreadsheetml/2006/main" count="229" uniqueCount="182">
  <si>
    <t>Table 7</t>
  </si>
  <si>
    <t>The Dimensions and Compositions of Selected Woollens and Says</t>
  </si>
  <si>
    <t>in the 16th Century: England and the southern Low Countries</t>
  </si>
  <si>
    <t>Drapery: City/Region</t>
  </si>
  <si>
    <t>ESSEX</t>
  </si>
  <si>
    <t/>
  </si>
  <si>
    <t>BERGUES-ST.WINOC</t>
  </si>
  <si>
    <t>Date of Ordinance</t>
  </si>
  <si>
    <t>Name of Textile</t>
  </si>
  <si>
    <t>Short Broadcloth</t>
  </si>
  <si>
    <t>Dickedinnen</t>
  </si>
  <si>
    <t>Gulden Aeren</t>
  </si>
  <si>
    <t>Double Say</t>
  </si>
  <si>
    <t>Narrow Say</t>
  </si>
  <si>
    <t>Says:</t>
  </si>
  <si>
    <t>Additional Names</t>
  </si>
  <si>
    <t>Suffolk, Essex</t>
  </si>
  <si>
    <t>Five Seals</t>
  </si>
  <si>
    <t>Small</t>
  </si>
  <si>
    <t>Fine</t>
  </si>
  <si>
    <t>broad</t>
  </si>
  <si>
    <t>Origin of Wools</t>
  </si>
  <si>
    <t>England</t>
  </si>
  <si>
    <t>England: Herefords.</t>
  </si>
  <si>
    <t>Flanders, Friesland</t>
  </si>
  <si>
    <t>Flanders, Artois</t>
  </si>
  <si>
    <t>English:</t>
  </si>
  <si>
    <t>Wool Types</t>
  </si>
  <si>
    <t>short-stapled</t>
  </si>
  <si>
    <t>March, Cotswolds</t>
  </si>
  <si>
    <t>Lemster Ore</t>
  </si>
  <si>
    <t>Scotland, Pomerania</t>
  </si>
  <si>
    <t>long-stapled</t>
  </si>
  <si>
    <t>Length on Loom: ells/yds</t>
  </si>
  <si>
    <t>n.s.</t>
  </si>
  <si>
    <t>Length on Loom: metres</t>
  </si>
  <si>
    <t>Width on Loom: ells</t>
  </si>
  <si>
    <t>Width on Loom: metres</t>
  </si>
  <si>
    <t>Weight on Loom: lb.</t>
  </si>
  <si>
    <t>Weight on Loom: kg.</t>
  </si>
  <si>
    <t>Final Length: ells/yds</t>
  </si>
  <si>
    <t>Final Length : metres</t>
  </si>
  <si>
    <t>Final Width: ells/yds</t>
  </si>
  <si>
    <t>Final Width: metres</t>
  </si>
  <si>
    <t>No. of Warps</t>
  </si>
  <si>
    <t>Warps per cm (fulled)</t>
  </si>
  <si>
    <t>Area in m2</t>
  </si>
  <si>
    <t>Final Weight in lb.</t>
  </si>
  <si>
    <t>Final Weight in kg</t>
  </si>
  <si>
    <t>Weight per m2 in grams</t>
  </si>
  <si>
    <t>a. Flemish ell in metres</t>
  </si>
  <si>
    <t>b. Ghent pound in grams</t>
  </si>
  <si>
    <t>c. Bruges pound in grams</t>
  </si>
  <si>
    <t>d. Mechelen ell in metres</t>
  </si>
  <si>
    <t>e. Mechelen pound in grams</t>
  </si>
  <si>
    <t>f. English pound avoirdupois</t>
  </si>
  <si>
    <t>g. English cloth yard (37 in): m.</t>
  </si>
  <si>
    <t>Sources:</t>
  </si>
  <si>
    <t>Ghent</t>
  </si>
  <si>
    <t>M. J. Lameere, H. Simont, et al, eds., Recueil des ordonnances des Pays Bas, deuxième série, 1506 - 1700,</t>
  </si>
  <si>
    <t>Vol. V (Brussels, 1910), pp. 272-83.</t>
  </si>
  <si>
    <t>England: woollens</t>
  </si>
  <si>
    <t>Great Britain, Parliament, Statutes of the Realm, IV:1, 136-37 (statute 5-6 Edwardi VI, c. 6).</t>
  </si>
  <si>
    <t>England: worsted says</t>
  </si>
  <si>
    <t xml:space="preserve">J. E. Pilgrim, The Rise of the New Draperies' in Essex,' University of Birmingham Historical Journal, 7 (1959-60), 36-59. </t>
  </si>
  <si>
    <t xml:space="preserve">A. P. Usher, The Industrial History of England (Boston, 1920), p. 200; </t>
  </si>
  <si>
    <t>Mechelen</t>
  </si>
  <si>
    <t>G.M. Willemsen, ed., 'Le réglement général de la draperie malinoise de 1544', Bulletin du cercle</t>
  </si>
  <si>
    <t>archéologique de Malines, 20 (1910), 156-90.</t>
  </si>
  <si>
    <t>Hondschoote</t>
  </si>
  <si>
    <t>Henri De Sagher, et al eds., Recueil de documents relatifs à l'histoire de l'industrie drapière en Flandre,</t>
  </si>
  <si>
    <t>deuxième série, 3 vols. (Brussels, 1951-65), II, 362-69, no. 290; 378-81, no. 291;  415, no. 299.</t>
  </si>
  <si>
    <t>Bergues-Saint-Winoc</t>
  </si>
  <si>
    <t>De Sagher, I,  530-31, no. 163; 538, no. 165; 561-67, nos. 176-77.</t>
  </si>
  <si>
    <t>Table 9</t>
  </si>
  <si>
    <t>The International Commerce of the Brabant Fairs, c. 1560:</t>
  </si>
  <si>
    <t>Estimated Values of Imports and Exports in pounds groot Flemish</t>
  </si>
  <si>
    <t>IMPORTS</t>
  </si>
  <si>
    <t>Commodity</t>
  </si>
  <si>
    <t>Value in</t>
  </si>
  <si>
    <t>Percent of</t>
  </si>
  <si>
    <t>Percent</t>
  </si>
  <si>
    <t>£ groot</t>
  </si>
  <si>
    <t>Estimated</t>
  </si>
  <si>
    <t>of Total</t>
  </si>
  <si>
    <t>Flemish</t>
  </si>
  <si>
    <t>Total</t>
  </si>
  <si>
    <t>Textile Products</t>
  </si>
  <si>
    <t>Silks: Italian fabrics and raw</t>
  </si>
  <si>
    <t>Says, worsteds, serges</t>
  </si>
  <si>
    <t>Woollens: English</t>
  </si>
  <si>
    <t>Linens</t>
  </si>
  <si>
    <t>Fustians: German</t>
  </si>
  <si>
    <t>Woollens: Netherlander</t>
  </si>
  <si>
    <t>Wools: Spanish*</t>
  </si>
  <si>
    <t>Woollens: English (finished)</t>
  </si>
  <si>
    <t>Wools: English</t>
  </si>
  <si>
    <t>Woad: French</t>
  </si>
  <si>
    <t>Silks: re-exports</t>
  </si>
  <si>
    <t>Alum: Italian</t>
  </si>
  <si>
    <t>Tapestries</t>
  </si>
  <si>
    <t>Alum: Spanish</t>
  </si>
  <si>
    <t>Other Textile Exports</t>
  </si>
  <si>
    <t xml:space="preserve">Cochineal: Spanish-American </t>
  </si>
  <si>
    <t>Sub-total textile products</t>
  </si>
  <si>
    <t>Foodstuffs</t>
  </si>
  <si>
    <t>Other Exports</t>
  </si>
  <si>
    <t>Grains: Baltic</t>
  </si>
  <si>
    <t>Spices: Portuguese-Asian</t>
  </si>
  <si>
    <t>Sugar: Portuguese</t>
  </si>
  <si>
    <t>Wines: French</t>
  </si>
  <si>
    <t>Wines: Rhenish</t>
  </si>
  <si>
    <t>Wines: Italian</t>
  </si>
  <si>
    <t>Wines: Spanish &amp; Portuguese</t>
  </si>
  <si>
    <t>Salt: French</t>
  </si>
  <si>
    <t>Salt: Spanish</t>
  </si>
  <si>
    <t>Olive Oil: Spanish &amp; Portuguese</t>
  </si>
  <si>
    <t>Sub-total foodstuffs</t>
  </si>
  <si>
    <t xml:space="preserve">Copper: German </t>
  </si>
  <si>
    <t>Other Commodities: estimated</t>
  </si>
  <si>
    <t>Total Values of Commodities</t>
  </si>
  <si>
    <t xml:space="preserve">Wilfrid Brulez, Le commerce international des Pays-Bas au XVIe siècle: essai d'appreciation quantitative,' </t>
  </si>
  <si>
    <t>Revue belge de philologie et d'histoire, 46 (1968), 1205-21,</t>
  </si>
  <si>
    <t xml:space="preserve">based upon Ludovico Guicciardini, Description de la cité d'Anvers, 1560, </t>
  </si>
  <si>
    <t>trans. François de Belleforest, 1582; published in Antwerp, 1920);</t>
  </si>
  <si>
    <t xml:space="preserve">reissued as: Wilfrid Brulez, The Balance of Trade in the Netherlands in the Middle of the Sixteenth Century', </t>
  </si>
  <si>
    <t>Acta Historiae Neerlandica, 4 (1970), 20-48;</t>
  </si>
  <si>
    <t>Jan De Vries and Ad Van der Woude, The First Modern Economy: Success, Failure, and</t>
  </si>
  <si>
    <t>Perseverance of the Dutch Economy, 1500 - 1815 (Cambridge, 1996), Table 9.1, p. 360.</t>
  </si>
  <si>
    <t>Table 8</t>
  </si>
  <si>
    <t>Exports of English Woolsacks and Woollen Broadcloths and</t>
  </si>
  <si>
    <t>Indices of Output in the Flemish and Brabantine Textile Industries</t>
  </si>
  <si>
    <t>in Five-Year Means, 1501-05 to 1536-40</t>
  </si>
  <si>
    <t>Year</t>
  </si>
  <si>
    <t>Total English</t>
  </si>
  <si>
    <t>Equivalent</t>
  </si>
  <si>
    <t>London Exports</t>
  </si>
  <si>
    <t>Ghent Drapery</t>
  </si>
  <si>
    <t>Mechelen Drapery</t>
  </si>
  <si>
    <t>Mechelen Cloths</t>
  </si>
  <si>
    <t>Leiden</t>
  </si>
  <si>
    <t>Wool Exports</t>
  </si>
  <si>
    <t>No. of</t>
  </si>
  <si>
    <t>Broadcloth</t>
  </si>
  <si>
    <t>London</t>
  </si>
  <si>
    <t>as Per Cent</t>
  </si>
  <si>
    <t>Excise Tax</t>
  </si>
  <si>
    <t>Tax Excise Farms</t>
  </si>
  <si>
    <t>in Clergiegeld</t>
  </si>
  <si>
    <t>Cloth</t>
  </si>
  <si>
    <t>Say Outputs</t>
  </si>
  <si>
    <t>Say</t>
  </si>
  <si>
    <t>in Sacks</t>
  </si>
  <si>
    <t>Broadcloths</t>
  </si>
  <si>
    <t>Exports</t>
  </si>
  <si>
    <t>Farms in d groot</t>
  </si>
  <si>
    <t>in £ groot</t>
  </si>
  <si>
    <t>Tax</t>
  </si>
  <si>
    <t>Outputs</t>
  </si>
  <si>
    <t>in 8d. tax</t>
  </si>
  <si>
    <t>Sales</t>
  </si>
  <si>
    <t>a</t>
  </si>
  <si>
    <t>one English woolsack = 364 lb. = 165.1076 kg = 4.333 woollen broadcloths</t>
  </si>
  <si>
    <t>b</t>
  </si>
  <si>
    <t>one English broadcloth = 3 kerseys = 4 straits or dozens: 24.0 by 1.75 yards = 21.947 m by 1.600 m</t>
  </si>
  <si>
    <t>c</t>
  </si>
  <si>
    <t>Ghent: the sum of the Ramen (Tentering Frames) and Nieuw Huusgeld in de Ramen Excises, which are the only ones indisputably measuring cloth production</t>
  </si>
  <si>
    <t>The pond or livre de paiement was worth 6d. groot Flemish; and thus £1 groot Flemish = £40 paiement</t>
  </si>
  <si>
    <t>d</t>
  </si>
  <si>
    <t>Mechelen: Total of the Wolle, Rocghewande, and Ghereede Ghewande Excise-Tax Farms.</t>
  </si>
  <si>
    <t>E.M. Carus Wilson and Olive Coleman, eds., England's Export Trade, 1275-1547 (Oxford, 1963), pp. 36-119.</t>
  </si>
  <si>
    <t>A.R. Bridbury, Medieval English Clothmaking:  An Economic Survey (London, 1982), Appendix F, pp. 118-22</t>
  </si>
  <si>
    <t>Stadsarchief Gent, Stadsrekeningen, Reeks 400:4-43, 1335-1520; Algemeen Rijksarchief België, Rekenkamer, reg. nos. 38,635-72</t>
  </si>
  <si>
    <t>Stadsarchief Mechelen, Stadsrekeningen, 1316-1550, Series I: nos. 3-225; Algemeen Rijksarchief, Rekenkamer, reg. nos.  41,219-85;</t>
  </si>
  <si>
    <t>Raymond Van Uytven, 'De Omvang van de Mechelse Lakenproductie vanaf de 14e tot de 16e eeuw',</t>
  </si>
  <si>
    <t>Noordgouw, 5:3 (1965), 1-22.</t>
  </si>
  <si>
    <t xml:space="preserve">Nicolaas W. Posthumus, Geschiedenis van de Leidsche lakenindustrie, 3 vols. (The Hague, 1908-1939), </t>
  </si>
  <si>
    <t>Vol. I: De Middeleeuwen, veertiende tot zestiende eeuw (1908), pp.  370-425.</t>
  </si>
  <si>
    <t xml:space="preserve">Nicholas W.  Posthumus, ed., Bronnen tot de geschiedenis van de leidsche textielnijverheid, 1333-1795, </t>
  </si>
  <si>
    <t>3 vols. (The Hague, 1910-1922), Vol.  II, 317-20.</t>
  </si>
  <si>
    <t>Émile Coornaert, La draperie-sayetterie d'Hondschoote, XIVe-XVIIIe siècles (Paris, 1930).</t>
  </si>
  <si>
    <t>calculated from Appendix IV, pp. 485-90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</si>
</sst>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000"/>
    <numFmt numFmtId="167" formatCode="#,##0.000"/>
    <numFmt numFmtId="168" formatCode="0.00000"/>
    <numFmt numFmtId="169" formatCode="0.0"/>
    <numFmt numFmtId="170" formatCode="#,##0.00000"/>
    <numFmt numFmtId="171" formatCode="#,##0.000000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21">
    <xf numFmtId="0" fontId="0" fillId="0" borderId="0" xfId="0" applyAlignment="1">
      <alignment/>
    </xf>
    <xf numFmtId="0" fontId="3" fillId="0" borderId="0" xfId="0" applyAlignment="1">
      <alignment/>
    </xf>
    <xf numFmtId="164" fontId="3" fillId="0" borderId="0" xfId="0" applyAlignment="1">
      <alignment/>
    </xf>
    <xf numFmtId="164" fontId="0" fillId="0" borderId="0" xfId="0" applyAlignment="1">
      <alignment/>
    </xf>
    <xf numFmtId="1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2" borderId="0" xfId="0" applyAlignment="1">
      <alignment/>
    </xf>
    <xf numFmtId="3" fontId="3" fillId="0" borderId="0" xfId="0" applyAlignment="1">
      <alignment/>
    </xf>
    <xf numFmtId="10" fontId="3" fillId="0" borderId="0" xfId="0" applyAlignment="1">
      <alignment/>
    </xf>
    <xf numFmtId="3" fontId="0" fillId="0" borderId="0" xfId="0" applyAlignment="1">
      <alignment/>
    </xf>
    <xf numFmtId="10" fontId="0" fillId="0" borderId="0" xfId="0" applyAlignment="1">
      <alignment/>
    </xf>
    <xf numFmtId="4" fontId="0" fillId="0" borderId="0" xfId="0" applyAlignment="1">
      <alignment/>
    </xf>
    <xf numFmtId="4" fontId="3" fillId="0" borderId="0" xfId="0" applyAlignment="1">
      <alignment/>
    </xf>
    <xf numFmtId="0" fontId="3" fillId="2" borderId="0" xfId="0" applyAlignment="1">
      <alignment horizontal="centerContinuous"/>
    </xf>
    <xf numFmtId="4" fontId="3" fillId="2" borderId="0" xfId="0" applyAlignment="1">
      <alignment/>
    </xf>
    <xf numFmtId="4" fontId="3" fillId="2" borderId="0" xfId="17">
      <alignment/>
      <protection/>
    </xf>
    <xf numFmtId="10" fontId="3" fillId="2" borderId="0" xfId="25">
      <alignment/>
      <protection/>
    </xf>
    <xf numFmtId="4" fontId="0" fillId="2" borderId="0" xfId="17">
      <alignment/>
      <protection/>
    </xf>
    <xf numFmtId="10" fontId="0" fillId="2" borderId="0" xfId="25">
      <alignment/>
      <protection/>
    </xf>
    <xf numFmtId="4" fontId="0" fillId="2" borderId="0" xfId="0" applyAlignment="1">
      <alignment/>
    </xf>
    <xf numFmtId="4" fontId="4" fillId="0" borderId="0" xfId="0" applyAlignment="1">
      <alignment/>
    </xf>
  </cellXfs>
  <cellStyles count="13">
    <cellStyle name="Normal" xfId="0"/>
    <cellStyle name="Comma" xfId="15"/>
    <cellStyle name="Comma0" xfId="16"/>
    <cellStyle name="Comma0_munro3 goldcoin1" xfId="17"/>
    <cellStyle name="Currency" xfId="18"/>
    <cellStyle name="Currency0" xfId="19"/>
    <cellStyle name="Date" xfId="20"/>
    <cellStyle name="Fixed" xfId="21"/>
    <cellStyle name="Heading 1" xfId="22"/>
    <cellStyle name="Heading 2" xfId="23"/>
    <cellStyle name="Percent" xfId="24"/>
    <cellStyle name="Percent_munro3 goldcoin1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9.28125" style="0" customWidth="1"/>
    <col min="2" max="2" width="13.57421875" style="11" customWidth="1"/>
    <col min="3" max="3" width="12.28125" style="11" customWidth="1"/>
    <col min="4" max="4" width="13.28125" style="11" customWidth="1"/>
    <col min="5" max="5" width="9.7109375" style="11" customWidth="1"/>
    <col min="6" max="6" width="15.7109375" style="0" customWidth="1"/>
    <col min="7" max="7" width="16.421875" style="11" customWidth="1"/>
    <col min="8" max="8" width="18.140625" style="11" customWidth="1"/>
    <col min="9" max="9" width="16.57421875" style="11" customWidth="1"/>
    <col min="10" max="10" width="9.7109375" style="11" customWidth="1"/>
    <col min="11" max="12" width="13.28125" style="11" customWidth="1"/>
  </cols>
  <sheetData>
    <row r="1" spans="1:6" ht="12.75">
      <c r="A1" s="1" t="s">
        <v>129</v>
      </c>
      <c r="C1" s="12" t="s">
        <v>130</v>
      </c>
      <c r="D1" s="12"/>
      <c r="E1" s="12"/>
      <c r="F1" s="10"/>
    </row>
    <row r="2" spans="3:6" ht="12.75">
      <c r="C2" s="12" t="s">
        <v>131</v>
      </c>
      <c r="D2" s="12"/>
      <c r="E2" s="12"/>
      <c r="F2" s="10"/>
    </row>
    <row r="3" spans="3:6" ht="12.75">
      <c r="C3" s="12" t="s">
        <v>132</v>
      </c>
      <c r="D3" s="12"/>
      <c r="E3" s="12"/>
      <c r="F3" s="10"/>
    </row>
    <row r="4" ht="12.75">
      <c r="F4" s="10"/>
    </row>
    <row r="5" spans="1:12" ht="12.75">
      <c r="A5" s="13" t="s">
        <v>133</v>
      </c>
      <c r="B5" s="14" t="s">
        <v>134</v>
      </c>
      <c r="C5" s="14" t="s">
        <v>135</v>
      </c>
      <c r="D5" s="15" t="s">
        <v>134</v>
      </c>
      <c r="E5" s="15" t="s">
        <v>86</v>
      </c>
      <c r="F5" s="16" t="s">
        <v>136</v>
      </c>
      <c r="G5" s="12" t="s">
        <v>137</v>
      </c>
      <c r="H5" s="12" t="s">
        <v>138</v>
      </c>
      <c r="I5" s="12" t="s">
        <v>139</v>
      </c>
      <c r="J5" s="12" t="s">
        <v>140</v>
      </c>
      <c r="K5" s="12" t="s">
        <v>69</v>
      </c>
      <c r="L5" s="12" t="s">
        <v>69</v>
      </c>
    </row>
    <row r="6" spans="1:12" ht="12.75">
      <c r="A6" s="13"/>
      <c r="B6" s="14" t="s">
        <v>141</v>
      </c>
      <c r="C6" s="14" t="s">
        <v>142</v>
      </c>
      <c r="D6" s="15" t="s">
        <v>143</v>
      </c>
      <c r="E6" s="15" t="s">
        <v>144</v>
      </c>
      <c r="F6" s="16" t="s">
        <v>145</v>
      </c>
      <c r="G6" s="12" t="s">
        <v>146</v>
      </c>
      <c r="H6" s="12" t="s">
        <v>147</v>
      </c>
      <c r="I6" s="12" t="s">
        <v>148</v>
      </c>
      <c r="J6" s="12" t="s">
        <v>149</v>
      </c>
      <c r="K6" s="12" t="s">
        <v>150</v>
      </c>
      <c r="L6" s="12" t="s">
        <v>151</v>
      </c>
    </row>
    <row r="7" spans="1:12" ht="12.75">
      <c r="A7" s="13"/>
      <c r="B7" s="14" t="s">
        <v>152</v>
      </c>
      <c r="C7" s="14" t="s">
        <v>153</v>
      </c>
      <c r="D7" s="15" t="s">
        <v>154</v>
      </c>
      <c r="E7" s="15" t="s">
        <v>154</v>
      </c>
      <c r="F7" s="16" t="s">
        <v>84</v>
      </c>
      <c r="G7" s="12" t="s">
        <v>155</v>
      </c>
      <c r="H7" s="12" t="s">
        <v>156</v>
      </c>
      <c r="I7" s="12" t="s">
        <v>157</v>
      </c>
      <c r="J7" s="12" t="s">
        <v>158</v>
      </c>
      <c r="K7" s="12" t="s">
        <v>159</v>
      </c>
      <c r="L7" s="12" t="s">
        <v>160</v>
      </c>
    </row>
    <row r="8" spans="6:10" ht="12.75">
      <c r="F8" s="10"/>
      <c r="J8" s="12"/>
    </row>
    <row r="9" spans="1:11" ht="12.75">
      <c r="A9" s="13">
        <f>1501-5</f>
        <v>1496</v>
      </c>
      <c r="B9" s="11">
        <v>7806.8</v>
      </c>
      <c r="C9" s="11">
        <v>33829.440644</v>
      </c>
      <c r="D9" s="17">
        <v>77270.8</v>
      </c>
      <c r="E9" s="17">
        <v>46610.8</v>
      </c>
      <c r="F9" s="18">
        <v>0.6032136330929666</v>
      </c>
      <c r="G9" s="19">
        <v>132</v>
      </c>
      <c r="H9" s="19">
        <v>224.3025</v>
      </c>
      <c r="I9" s="19">
        <v>2155.051</v>
      </c>
      <c r="J9" s="19">
        <v>25148.2</v>
      </c>
      <c r="K9" s="11">
        <v>17640</v>
      </c>
    </row>
    <row r="11" spans="1:11" ht="12.75">
      <c r="A11" s="13">
        <f>1506-10</f>
        <v>1496</v>
      </c>
      <c r="B11" s="11">
        <v>7326.2</v>
      </c>
      <c r="C11" s="11">
        <v>31746.842246000004</v>
      </c>
      <c r="D11" s="17">
        <v>84802.6</v>
      </c>
      <c r="E11" s="17">
        <v>52390.4</v>
      </c>
      <c r="F11" s="18">
        <v>0.6177923790072474</v>
      </c>
      <c r="G11" s="19">
        <v>93.6</v>
      </c>
      <c r="H11" s="19">
        <v>224.33166666666665</v>
      </c>
      <c r="I11" s="19">
        <v>1912</v>
      </c>
      <c r="J11" s="19">
        <v>23782.8</v>
      </c>
      <c r="K11" s="11">
        <v>20016</v>
      </c>
    </row>
    <row r="13" spans="1:11" ht="12.75">
      <c r="A13" s="13">
        <f>1511-15</f>
        <v>1496</v>
      </c>
      <c r="B13" s="11">
        <v>7087.2</v>
      </c>
      <c r="C13" s="11">
        <v>30711.176376</v>
      </c>
      <c r="D13" s="17">
        <v>86592</v>
      </c>
      <c r="E13" s="17">
        <v>62257</v>
      </c>
      <c r="F13" s="18">
        <v>0.7189694198078345</v>
      </c>
      <c r="G13" s="19">
        <v>97.2</v>
      </c>
      <c r="H13" s="19">
        <v>185.1575</v>
      </c>
      <c r="I13" s="19">
        <v>1796</v>
      </c>
      <c r="J13" s="19">
        <v>24673.2</v>
      </c>
      <c r="K13" s="11">
        <v>22728</v>
      </c>
    </row>
    <row r="15" spans="1:11" ht="12.75">
      <c r="A15" s="13">
        <f>1516-20</f>
        <v>1496</v>
      </c>
      <c r="B15" s="11">
        <v>8194.4</v>
      </c>
      <c r="C15" s="11">
        <v>35509.03935200001</v>
      </c>
      <c r="D15" s="17">
        <v>90098.8</v>
      </c>
      <c r="E15" s="17">
        <v>63084</v>
      </c>
      <c r="F15" s="18">
        <v>0.7001647080760232</v>
      </c>
      <c r="G15" s="19">
        <v>62.4</v>
      </c>
      <c r="H15" s="19">
        <v>190.0514583333333</v>
      </c>
      <c r="I15" s="19">
        <v>2394</v>
      </c>
      <c r="J15" s="19">
        <v>26244.9</v>
      </c>
      <c r="K15" s="11">
        <v>29400</v>
      </c>
    </row>
    <row r="17" spans="1:11" ht="12.75">
      <c r="A17" s="13">
        <f>1521-25</f>
        <v>1496</v>
      </c>
      <c r="B17" s="11">
        <v>5131.6</v>
      </c>
      <c r="C17" s="11">
        <v>22236.916228</v>
      </c>
      <c r="D17" s="17">
        <v>82268.8</v>
      </c>
      <c r="E17" s="17">
        <v>61854.4</v>
      </c>
      <c r="F17" s="18">
        <v>0.7518573262281691</v>
      </c>
      <c r="H17" s="19">
        <v>181.20625</v>
      </c>
      <c r="I17" s="19">
        <v>2307</v>
      </c>
      <c r="J17" s="19">
        <v>24334.6</v>
      </c>
      <c r="K17" s="11">
        <v>32148</v>
      </c>
    </row>
    <row r="19" spans="1:12" ht="12.75">
      <c r="A19" s="13">
        <f>1526-30</f>
        <v>1496</v>
      </c>
      <c r="B19" s="11">
        <v>4834.8</v>
      </c>
      <c r="C19" s="11">
        <v>20950.783884000004</v>
      </c>
      <c r="D19" s="17">
        <v>93534.4</v>
      </c>
      <c r="E19" s="17">
        <v>72350</v>
      </c>
      <c r="F19" s="18">
        <v>0.773512205135223</v>
      </c>
      <c r="H19" s="19">
        <v>143.71</v>
      </c>
      <c r="I19" s="19">
        <v>2402</v>
      </c>
      <c r="J19" s="19">
        <v>23094.2</v>
      </c>
      <c r="K19" s="11">
        <v>34896</v>
      </c>
      <c r="L19" s="11">
        <v>31583.437962962966</v>
      </c>
    </row>
    <row r="21" spans="1:12" ht="12.75">
      <c r="A21" s="13">
        <f>1531-35</f>
        <v>1496</v>
      </c>
      <c r="B21" s="11">
        <v>3005.2</v>
      </c>
      <c r="C21" s="11">
        <v>13022.523316</v>
      </c>
      <c r="D21" s="17">
        <v>94086.8</v>
      </c>
      <c r="E21" s="17">
        <v>75502.6</v>
      </c>
      <c r="F21" s="18">
        <v>0.8024781372094705</v>
      </c>
      <c r="H21" s="19">
        <v>127.51083333333334</v>
      </c>
      <c r="I21" s="19">
        <v>2594</v>
      </c>
      <c r="J21" s="19">
        <v>17257.6</v>
      </c>
      <c r="K21" s="11">
        <v>43584</v>
      </c>
      <c r="L21" s="11">
        <v>41184.5</v>
      </c>
    </row>
    <row r="23" spans="1:12" ht="12.75">
      <c r="A23" s="13">
        <f>1536-40</f>
        <v>1496</v>
      </c>
      <c r="B23" s="11">
        <v>3951.4</v>
      </c>
      <c r="C23" s="11">
        <v>17122.720162</v>
      </c>
      <c r="D23" s="17">
        <v>109278</v>
      </c>
      <c r="E23" s="17">
        <v>91730.6</v>
      </c>
      <c r="F23" s="18">
        <v>0.8394242207946705</v>
      </c>
      <c r="H23" s="19">
        <v>94.965</v>
      </c>
      <c r="I23" s="19">
        <v>1660</v>
      </c>
      <c r="J23" s="19">
        <v>16646.2</v>
      </c>
      <c r="K23" s="11">
        <v>43176</v>
      </c>
      <c r="L23" s="11">
        <v>42761.4</v>
      </c>
    </row>
    <row r="25" spans="1:2" ht="12.75">
      <c r="A25" t="s">
        <v>161</v>
      </c>
      <c r="B25" s="11" t="s">
        <v>162</v>
      </c>
    </row>
    <row r="26" spans="1:2" ht="12.75">
      <c r="A26" t="s">
        <v>163</v>
      </c>
      <c r="B26" s="11" t="s">
        <v>164</v>
      </c>
    </row>
    <row r="27" spans="1:2" ht="12.75">
      <c r="A27" t="s">
        <v>165</v>
      </c>
      <c r="B27" t="s">
        <v>166</v>
      </c>
    </row>
    <row r="28" ht="12.75">
      <c r="B28" s="11" t="s">
        <v>167</v>
      </c>
    </row>
    <row r="29" spans="1:8" ht="12.75">
      <c r="A29" t="s">
        <v>168</v>
      </c>
      <c r="B29" s="19" t="s">
        <v>169</v>
      </c>
      <c r="C29" s="19"/>
      <c r="F29" s="11"/>
      <c r="H29" s="19"/>
    </row>
    <row r="32" spans="1:2" ht="12.75">
      <c r="A32" s="1" t="s">
        <v>57</v>
      </c>
      <c r="B32" s="11" t="s">
        <v>170</v>
      </c>
    </row>
    <row r="33" ht="12.75">
      <c r="B33" s="11" t="s">
        <v>171</v>
      </c>
    </row>
    <row r="34" ht="12.75">
      <c r="B34" s="11" t="s">
        <v>172</v>
      </c>
    </row>
    <row r="35" ht="12.75">
      <c r="B35" s="11" t="s">
        <v>173</v>
      </c>
    </row>
    <row r="36" ht="12.75">
      <c r="B36" s="11" t="s">
        <v>174</v>
      </c>
    </row>
    <row r="37" ht="12.75">
      <c r="B37" s="20" t="s">
        <v>175</v>
      </c>
    </row>
    <row r="38" ht="12.75">
      <c r="B38" s="11" t="s">
        <v>176</v>
      </c>
    </row>
    <row r="39" ht="12.75">
      <c r="B39" s="11" t="s">
        <v>177</v>
      </c>
    </row>
    <row r="40" ht="12.75">
      <c r="B40" s="11" t="s">
        <v>178</v>
      </c>
    </row>
    <row r="41" ht="12.75">
      <c r="B41" s="11" t="s">
        <v>179</v>
      </c>
    </row>
    <row r="42" ht="12.75">
      <c r="B42" s="11" t="s">
        <v>180</v>
      </c>
    </row>
    <row r="43" ht="12.75">
      <c r="B43" s="11" t="s">
        <v>181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" sqref="A2"/>
    </sheetView>
  </sheetViews>
  <sheetFormatPr defaultColWidth="9.140625" defaultRowHeight="12.75"/>
  <cols>
    <col min="1" max="1" width="27.57421875" style="0" customWidth="1"/>
    <col min="2" max="2" width="15.421875" style="3" customWidth="1"/>
    <col min="3" max="3" width="16.421875" style="3" customWidth="1"/>
    <col min="4" max="4" width="17.8515625" style="3" customWidth="1"/>
    <col min="5" max="5" width="18.8515625" style="3" customWidth="1"/>
    <col min="6" max="6" width="20.421875" style="3" customWidth="1"/>
    <col min="7" max="7" width="11.57421875" style="3" customWidth="1"/>
  </cols>
  <sheetData>
    <row r="1" spans="1:2" ht="12.75">
      <c r="A1" s="1" t="s">
        <v>0</v>
      </c>
      <c r="B1" s="2" t="s">
        <v>1</v>
      </c>
    </row>
    <row r="2" ht="12.75">
      <c r="B2" s="2" t="s">
        <v>2</v>
      </c>
    </row>
    <row r="4" spans="1:7" ht="12.75">
      <c r="A4" s="1" t="s">
        <v>3</v>
      </c>
      <c r="B4" s="2" t="s">
        <v>4</v>
      </c>
      <c r="C4" s="2" t="s">
        <v>5</v>
      </c>
      <c r="D4" s="2" t="s">
        <v>5</v>
      </c>
      <c r="E4" s="2" t="s">
        <v>5</v>
      </c>
      <c r="F4" s="2" t="s">
        <v>6</v>
      </c>
      <c r="G4" s="2" t="s">
        <v>4</v>
      </c>
    </row>
    <row r="5" spans="1:7" ht="12.75">
      <c r="A5" s="1" t="s">
        <v>7</v>
      </c>
      <c r="B5" s="4">
        <v>1552</v>
      </c>
      <c r="C5" s="4">
        <v>1546</v>
      </c>
      <c r="D5" s="4">
        <v>1544</v>
      </c>
      <c r="E5" s="4">
        <v>1571</v>
      </c>
      <c r="F5" s="4">
        <v>1537</v>
      </c>
      <c r="G5" s="4">
        <v>1579</v>
      </c>
    </row>
    <row r="6" spans="1:7" ht="12.75">
      <c r="A6" s="1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12.75">
      <c r="A7" s="1" t="s">
        <v>15</v>
      </c>
      <c r="B7" s="3" t="s">
        <v>16</v>
      </c>
      <c r="C7" s="3" t="s">
        <v>17</v>
      </c>
      <c r="D7" s="3" t="s">
        <v>17</v>
      </c>
      <c r="E7" s="3" t="s">
        <v>18</v>
      </c>
      <c r="F7" s="3" t="s">
        <v>19</v>
      </c>
      <c r="G7" s="3" t="s">
        <v>20</v>
      </c>
    </row>
    <row r="8" spans="1:7" ht="12.75">
      <c r="A8" s="1" t="s">
        <v>21</v>
      </c>
      <c r="B8" s="3" t="s">
        <v>22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</row>
    <row r="9" spans="1:7" ht="12.75">
      <c r="A9" s="1" t="s">
        <v>27</v>
      </c>
      <c r="B9" s="3" t="s">
        <v>28</v>
      </c>
      <c r="C9" s="3" t="s">
        <v>29</v>
      </c>
      <c r="D9" s="3" t="s">
        <v>30</v>
      </c>
      <c r="E9" s="3" t="s">
        <v>31</v>
      </c>
      <c r="F9" s="3" t="s">
        <v>32</v>
      </c>
      <c r="G9" s="3" t="s">
        <v>32</v>
      </c>
    </row>
    <row r="10" ht="12.75">
      <c r="A10" s="1"/>
    </row>
    <row r="11" spans="1:7" ht="12.75">
      <c r="A11" s="1" t="s">
        <v>33</v>
      </c>
      <c r="B11" s="5" t="s">
        <v>34</v>
      </c>
      <c r="C11" s="3">
        <v>42.5</v>
      </c>
      <c r="D11" s="3">
        <v>48</v>
      </c>
      <c r="E11" s="3">
        <v>40</v>
      </c>
      <c r="F11" s="5" t="s">
        <v>34</v>
      </c>
      <c r="G11" s="5" t="s">
        <v>34</v>
      </c>
    </row>
    <row r="12" spans="1:7" ht="12.75">
      <c r="A12" s="1" t="s">
        <v>35</v>
      </c>
      <c r="B12" s="5" t="s">
        <v>34</v>
      </c>
      <c r="C12" s="3">
        <f>C11*0.7</f>
        <v>29.749999999999996</v>
      </c>
      <c r="D12" s="6">
        <f>48*0.689</f>
        <v>33.071999999999996</v>
      </c>
      <c r="E12" s="6">
        <f>40*0.7</f>
        <v>28</v>
      </c>
      <c r="F12" s="5" t="s">
        <v>34</v>
      </c>
      <c r="G12" s="5" t="s">
        <v>34</v>
      </c>
    </row>
    <row r="13" spans="1:7" ht="12.75">
      <c r="A13" s="1" t="s">
        <v>36</v>
      </c>
      <c r="B13" s="5" t="s">
        <v>34</v>
      </c>
      <c r="C13" s="3">
        <f>14.5/4</f>
        <v>3.625</v>
      </c>
      <c r="D13" s="3">
        <f>16/4</f>
        <v>4</v>
      </c>
      <c r="E13" s="3">
        <f>5.75/4</f>
        <v>1.4375</v>
      </c>
      <c r="F13" s="5" t="s">
        <v>34</v>
      </c>
      <c r="G13" s="5" t="s">
        <v>34</v>
      </c>
    </row>
    <row r="14" spans="1:7" ht="12.75">
      <c r="A14" s="1" t="s">
        <v>37</v>
      </c>
      <c r="B14" s="5" t="s">
        <v>34</v>
      </c>
      <c r="C14" s="3">
        <f>C13*0.7</f>
        <v>2.5374999999999996</v>
      </c>
      <c r="D14" s="6">
        <f>D13*0.689</f>
        <v>2.756</v>
      </c>
      <c r="E14" s="6">
        <f>(5.75/4)*0.7</f>
        <v>1.0062499999999999</v>
      </c>
      <c r="F14" s="5" t="s">
        <v>34</v>
      </c>
      <c r="G14" s="5" t="s">
        <v>34</v>
      </c>
    </row>
    <row r="15" spans="1:7" ht="12.75">
      <c r="A15" s="1" t="s">
        <v>38</v>
      </c>
      <c r="B15" s="5" t="s">
        <v>34</v>
      </c>
      <c r="C15" s="3">
        <v>88</v>
      </c>
      <c r="D15" s="5" t="s">
        <v>34</v>
      </c>
      <c r="E15" s="5" t="s">
        <v>34</v>
      </c>
      <c r="F15" s="5" t="s">
        <v>34</v>
      </c>
      <c r="G15" s="5" t="s">
        <v>34</v>
      </c>
    </row>
    <row r="16" spans="1:7" ht="12.75">
      <c r="A16" s="1" t="s">
        <v>39</v>
      </c>
      <c r="B16" s="5" t="s">
        <v>34</v>
      </c>
      <c r="C16" s="3">
        <f>C15*0.43385</f>
        <v>38.1788</v>
      </c>
      <c r="D16" s="5" t="s">
        <v>34</v>
      </c>
      <c r="E16" s="5" t="s">
        <v>34</v>
      </c>
      <c r="F16" s="5" t="s">
        <v>34</v>
      </c>
      <c r="G16" s="5" t="s">
        <v>34</v>
      </c>
    </row>
    <row r="17" spans="1:7" ht="12.75">
      <c r="A17" s="1" t="s">
        <v>40</v>
      </c>
      <c r="B17" s="3">
        <v>24</v>
      </c>
      <c r="C17" s="3">
        <v>30</v>
      </c>
      <c r="D17" s="3">
        <v>30</v>
      </c>
      <c r="E17" s="3">
        <v>36.75</v>
      </c>
      <c r="F17" s="3">
        <v>40</v>
      </c>
      <c r="G17" s="3">
        <v>10</v>
      </c>
    </row>
    <row r="18" spans="1:7" ht="12.75">
      <c r="A18" s="1" t="s">
        <v>41</v>
      </c>
      <c r="B18" s="6">
        <f>24*(37/36)*0.9144</f>
        <v>22.5552</v>
      </c>
      <c r="C18" s="3">
        <f>C17*0.7</f>
        <v>21</v>
      </c>
      <c r="D18" s="6">
        <f>30*0.689</f>
        <v>20.669999999999998</v>
      </c>
      <c r="E18" s="6">
        <f>36.75*0.7</f>
        <v>25.724999999999998</v>
      </c>
      <c r="F18" s="6">
        <f>40*0.7</f>
        <v>28</v>
      </c>
      <c r="G18" s="6">
        <f>10*0.91444*(37/36)</f>
        <v>9.39841111111111</v>
      </c>
    </row>
    <row r="19" spans="1:7" ht="12.75">
      <c r="A19" s="1" t="s">
        <v>42</v>
      </c>
      <c r="B19" s="3">
        <v>1.75</v>
      </c>
      <c r="C19" s="3">
        <f>9.5/4</f>
        <v>2.375</v>
      </c>
      <c r="D19" s="3">
        <f>10/4</f>
        <v>2.5</v>
      </c>
      <c r="E19" s="3">
        <f>5/4</f>
        <v>1.25</v>
      </c>
      <c r="F19" s="3">
        <f>4/4</f>
        <v>1</v>
      </c>
      <c r="G19" s="3">
        <v>1</v>
      </c>
    </row>
    <row r="20" spans="1:7" ht="12.75">
      <c r="A20" s="1" t="s">
        <v>43</v>
      </c>
      <c r="B20" s="6">
        <f>1.75*(37/36)*0.9144</f>
        <v>1.6446499999999997</v>
      </c>
      <c r="C20" s="3">
        <f>C19*0.7</f>
        <v>1.6624999999999999</v>
      </c>
      <c r="D20" s="6">
        <f>(10/4)*0.689</f>
        <v>1.7225</v>
      </c>
      <c r="E20" s="6">
        <f>(5/4)*0.7</f>
        <v>0.875</v>
      </c>
      <c r="F20" s="6">
        <f>(4/4)*0.7</f>
        <v>0.7</v>
      </c>
      <c r="G20" s="6">
        <f>(4/4)*(37/36)*0.9144</f>
        <v>0.9397999999999999</v>
      </c>
    </row>
    <row r="21" spans="1:7" ht="12.75">
      <c r="A21" s="1" t="s">
        <v>44</v>
      </c>
      <c r="B21" s="5" t="s">
        <v>34</v>
      </c>
      <c r="C21" s="3">
        <v>2066</v>
      </c>
      <c r="D21" s="3">
        <v>3120</v>
      </c>
      <c r="E21" s="3">
        <v>1800</v>
      </c>
      <c r="F21" s="3">
        <v>1400</v>
      </c>
      <c r="G21" s="5" t="s">
        <v>34</v>
      </c>
    </row>
    <row r="22" spans="1:7" ht="12.75">
      <c r="A22" s="1" t="s">
        <v>45</v>
      </c>
      <c r="B22" s="5" t="s">
        <v>34</v>
      </c>
      <c r="C22" s="3">
        <f>C21/(C20*100)</f>
        <v>12.427067669172933</v>
      </c>
      <c r="D22" s="3">
        <f>D21/(D20*100)</f>
        <v>18.11320754716981</v>
      </c>
      <c r="E22" s="3">
        <f>E21/(E20*100)</f>
        <v>20.571428571428573</v>
      </c>
      <c r="F22" s="3">
        <f>F21/(F20*100)</f>
        <v>20</v>
      </c>
      <c r="G22" s="5" t="s">
        <v>34</v>
      </c>
    </row>
    <row r="23" spans="1:7" ht="12.75">
      <c r="A23" s="1" t="s">
        <v>46</v>
      </c>
      <c r="B23" s="3">
        <f aca="true" t="shared" si="0" ref="B23:G23">B18*B20</f>
        <v>37.095409679999996</v>
      </c>
      <c r="C23" s="3">
        <f t="shared" si="0"/>
        <v>34.912499999999994</v>
      </c>
      <c r="D23" s="3">
        <f t="shared" si="0"/>
        <v>35.604074999999995</v>
      </c>
      <c r="E23" s="3">
        <f t="shared" si="0"/>
        <v>22.509375</v>
      </c>
      <c r="F23" s="3">
        <f t="shared" si="0"/>
        <v>19.599999999999998</v>
      </c>
      <c r="G23" s="3">
        <f t="shared" si="0"/>
        <v>8.83262676222222</v>
      </c>
    </row>
    <row r="24" spans="1:7" ht="12.75">
      <c r="A24" s="1" t="s">
        <v>47</v>
      </c>
      <c r="B24" s="3">
        <v>64</v>
      </c>
      <c r="C24" s="3">
        <v>51</v>
      </c>
      <c r="D24" s="3">
        <v>58</v>
      </c>
      <c r="E24" s="3">
        <v>16</v>
      </c>
      <c r="F24" s="3">
        <v>11</v>
      </c>
      <c r="G24" s="3">
        <v>2.75</v>
      </c>
    </row>
    <row r="25" spans="1:7" ht="12.75">
      <c r="A25" s="1" t="s">
        <v>48</v>
      </c>
      <c r="B25" s="6">
        <f>64*0.453593</f>
        <v>29.029952</v>
      </c>
      <c r="C25" s="3">
        <f>C24*0.43385</f>
        <v>22.126350000000002</v>
      </c>
      <c r="D25" s="6">
        <f>58*0.46925</f>
        <v>27.2165</v>
      </c>
      <c r="E25" s="6">
        <f>16*0.453593</f>
        <v>7.257488</v>
      </c>
      <c r="F25" s="6">
        <f>11*0.4639</f>
        <v>5.1029</v>
      </c>
      <c r="G25" s="6">
        <f>2.75*0.453493</f>
        <v>1.24710575</v>
      </c>
    </row>
    <row r="26" spans="1:7" ht="12.75">
      <c r="A26" s="1" t="s">
        <v>49</v>
      </c>
      <c r="B26" s="3">
        <f aca="true" t="shared" si="1" ref="B26:G26">B25/B23*1000</f>
        <v>782.5753172811436</v>
      </c>
      <c r="C26" s="3">
        <f t="shared" si="1"/>
        <v>633.7658431793773</v>
      </c>
      <c r="D26" s="3">
        <f t="shared" si="1"/>
        <v>764.4209265372012</v>
      </c>
      <c r="E26" s="3">
        <f t="shared" si="1"/>
        <v>322.4206802721089</v>
      </c>
      <c r="F26" s="3">
        <f t="shared" si="1"/>
        <v>260.35204081632656</v>
      </c>
      <c r="G26" s="3">
        <f t="shared" si="1"/>
        <v>141.1930769376513</v>
      </c>
    </row>
    <row r="29" spans="1:2" ht="12.75">
      <c r="A29" t="s">
        <v>50</v>
      </c>
      <c r="B29" s="3">
        <v>0.7</v>
      </c>
    </row>
    <row r="30" spans="1:2" ht="12.75">
      <c r="A30" t="s">
        <v>51</v>
      </c>
      <c r="B30" s="3">
        <v>433.85</v>
      </c>
    </row>
    <row r="31" spans="1:2" ht="12.75">
      <c r="A31" t="s">
        <v>52</v>
      </c>
      <c r="B31" s="3">
        <v>463.9</v>
      </c>
    </row>
    <row r="32" spans="1:2" ht="12.75">
      <c r="A32" t="s">
        <v>53</v>
      </c>
      <c r="B32" s="3">
        <v>0.689</v>
      </c>
    </row>
    <row r="33" spans="1:2" ht="12.75">
      <c r="A33" t="s">
        <v>54</v>
      </c>
      <c r="B33" s="3">
        <v>469.25</v>
      </c>
    </row>
    <row r="34" spans="1:2" ht="12.75">
      <c r="A34" t="s">
        <v>55</v>
      </c>
      <c r="B34" s="3">
        <v>453.593</v>
      </c>
    </row>
    <row r="35" spans="1:2" ht="12.75">
      <c r="A35" t="s">
        <v>56</v>
      </c>
      <c r="B35" s="3">
        <v>0.9398</v>
      </c>
    </row>
    <row r="37" ht="12.75">
      <c r="A37" s="1" t="s">
        <v>57</v>
      </c>
    </row>
    <row r="39" spans="1:2" ht="12.75">
      <c r="A39" t="s">
        <v>58</v>
      </c>
      <c r="B39" s="3" t="s">
        <v>59</v>
      </c>
    </row>
    <row r="40" ht="12.75">
      <c r="B40" s="3" t="s">
        <v>60</v>
      </c>
    </row>
    <row r="41" spans="1:2" ht="12.75">
      <c r="A41" t="s">
        <v>61</v>
      </c>
      <c r="B41" s="3" t="s">
        <v>62</v>
      </c>
    </row>
    <row r="42" spans="1:2" ht="12.75">
      <c r="A42" t="s">
        <v>63</v>
      </c>
      <c r="B42" s="3" t="s">
        <v>64</v>
      </c>
    </row>
    <row r="43" ht="12.75">
      <c r="B43" s="3" t="s">
        <v>65</v>
      </c>
    </row>
    <row r="44" spans="1:2" ht="12.75">
      <c r="A44" t="s">
        <v>66</v>
      </c>
      <c r="B44" s="3" t="s">
        <v>67</v>
      </c>
    </row>
    <row r="45" ht="12.75">
      <c r="B45" s="3" t="s">
        <v>68</v>
      </c>
    </row>
    <row r="46" spans="1:2" ht="12.75">
      <c r="A46" t="s">
        <v>69</v>
      </c>
      <c r="B46" s="3" t="s">
        <v>70</v>
      </c>
    </row>
    <row r="47" ht="12.75">
      <c r="B47" s="3" t="s">
        <v>71</v>
      </c>
    </row>
    <row r="48" spans="1:2" ht="12.75">
      <c r="A48" t="s">
        <v>72</v>
      </c>
      <c r="B48" s="3" t="s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9.7109375" style="9" customWidth="1"/>
    <col min="3" max="3" width="10.8515625" style="0" customWidth="1"/>
    <col min="5" max="5" width="24.57421875" style="0" customWidth="1"/>
    <col min="6" max="6" width="9.7109375" style="9" customWidth="1"/>
    <col min="7" max="7" width="8.8515625" style="10" customWidth="1"/>
  </cols>
  <sheetData>
    <row r="1" spans="1:5" ht="12.75">
      <c r="A1" s="1" t="s">
        <v>74</v>
      </c>
      <c r="B1" s="7" t="s">
        <v>75</v>
      </c>
      <c r="C1" s="8"/>
      <c r="D1" s="1"/>
      <c r="E1" s="1"/>
    </row>
    <row r="2" spans="2:5" ht="12.75">
      <c r="B2" s="7" t="s">
        <v>76</v>
      </c>
      <c r="C2" s="8"/>
      <c r="D2" s="1"/>
      <c r="E2" s="1"/>
    </row>
    <row r="4" spans="1:7" ht="12.75">
      <c r="A4" s="1"/>
      <c r="B4" s="7" t="s">
        <v>77</v>
      </c>
      <c r="C4" s="8"/>
      <c r="D4" s="1"/>
      <c r="E4" s="1"/>
      <c r="F4" s="7" t="s">
        <v>5</v>
      </c>
      <c r="G4" s="8"/>
    </row>
    <row r="5" spans="1:7" ht="12.75">
      <c r="A5" s="1"/>
      <c r="B5" s="7"/>
      <c r="C5" s="1"/>
      <c r="D5" s="1"/>
      <c r="E5" s="1"/>
      <c r="F5" s="7"/>
      <c r="G5" s="8"/>
    </row>
    <row r="6" spans="1:7" ht="12.75">
      <c r="A6" s="1" t="s">
        <v>78</v>
      </c>
      <c r="B6" s="7" t="s">
        <v>79</v>
      </c>
      <c r="C6" s="1" t="s">
        <v>80</v>
      </c>
      <c r="D6" s="1"/>
      <c r="E6" s="1" t="s">
        <v>78</v>
      </c>
      <c r="F6" s="7" t="s">
        <v>79</v>
      </c>
      <c r="G6" s="8" t="s">
        <v>81</v>
      </c>
    </row>
    <row r="7" spans="1:7" ht="12.75">
      <c r="A7" s="1"/>
      <c r="B7" s="7" t="s">
        <v>82</v>
      </c>
      <c r="C7" s="1" t="s">
        <v>83</v>
      </c>
      <c r="D7" s="1"/>
      <c r="E7" s="1"/>
      <c r="F7" s="7" t="s">
        <v>82</v>
      </c>
      <c r="G7" s="8" t="s">
        <v>84</v>
      </c>
    </row>
    <row r="8" spans="2:6" ht="12.75">
      <c r="B8" s="7" t="s">
        <v>85</v>
      </c>
      <c r="C8" s="1" t="s">
        <v>86</v>
      </c>
      <c r="F8" s="7" t="s">
        <v>85</v>
      </c>
    </row>
    <row r="10" spans="1:5" ht="12.75">
      <c r="A10" s="1" t="s">
        <v>87</v>
      </c>
      <c r="E10" s="1" t="s">
        <v>87</v>
      </c>
    </row>
    <row r="12" spans="1:7" ht="12.75">
      <c r="A12" t="s">
        <v>88</v>
      </c>
      <c r="B12" s="9">
        <v>666666.6666666666</v>
      </c>
      <c r="C12" s="10">
        <f aca="true" t="shared" si="0" ref="C12:C20">B12/($B$43)</f>
        <v>0.17777777777777778</v>
      </c>
      <c r="E12" t="s">
        <v>89</v>
      </c>
      <c r="F12" s="9">
        <v>416666.6666666667</v>
      </c>
      <c r="G12" s="10">
        <f aca="true" t="shared" si="1" ref="G12:G19">F12/($F$43)</f>
        <v>0.15625000000000003</v>
      </c>
    </row>
    <row r="13" spans="1:7" ht="12.75">
      <c r="A13" t="s">
        <v>90</v>
      </c>
      <c r="B13" s="9">
        <v>540000</v>
      </c>
      <c r="C13" s="10">
        <f t="shared" si="0"/>
        <v>0.14400000000000002</v>
      </c>
      <c r="E13" t="s">
        <v>91</v>
      </c>
      <c r="F13" s="9">
        <v>416666.6666666667</v>
      </c>
      <c r="G13" s="10">
        <f t="shared" si="1"/>
        <v>0.15625000000000003</v>
      </c>
    </row>
    <row r="14" spans="1:7" ht="12.75">
      <c r="A14" t="s">
        <v>92</v>
      </c>
      <c r="B14" s="9">
        <v>40000</v>
      </c>
      <c r="C14" s="10">
        <f t="shared" si="0"/>
        <v>0.010666666666666668</v>
      </c>
      <c r="E14" t="s">
        <v>93</v>
      </c>
      <c r="F14" s="9">
        <v>233333.3333333333</v>
      </c>
      <c r="G14" s="10">
        <f t="shared" si="1"/>
        <v>0.0875</v>
      </c>
    </row>
    <row r="15" spans="1:7" ht="12.75">
      <c r="A15" t="s">
        <v>94</v>
      </c>
      <c r="B15" s="9">
        <v>208333.33333333334</v>
      </c>
      <c r="C15" s="10">
        <f t="shared" si="0"/>
        <v>0.055555555555555566</v>
      </c>
      <c r="E15" t="s">
        <v>95</v>
      </c>
      <c r="F15" s="9">
        <v>520000</v>
      </c>
      <c r="G15" s="10">
        <f t="shared" si="1"/>
        <v>0.195</v>
      </c>
    </row>
    <row r="16" spans="1:7" ht="12.75">
      <c r="A16" t="s">
        <v>96</v>
      </c>
      <c r="B16" s="9">
        <v>83333.33333333333</v>
      </c>
      <c r="C16" s="10">
        <f t="shared" si="0"/>
        <v>0.022222222222222223</v>
      </c>
      <c r="E16" t="s">
        <v>92</v>
      </c>
      <c r="F16" s="9">
        <v>40000</v>
      </c>
      <c r="G16" s="10">
        <f t="shared" si="1"/>
        <v>0.015000000000000001</v>
      </c>
    </row>
    <row r="17" spans="1:7" ht="12.75">
      <c r="A17" t="s">
        <v>97</v>
      </c>
      <c r="B17" s="9">
        <v>66666.66666666667</v>
      </c>
      <c r="C17" s="10">
        <f t="shared" si="0"/>
        <v>0.01777777777777778</v>
      </c>
      <c r="E17" t="s">
        <v>98</v>
      </c>
      <c r="F17" s="9">
        <v>83333.33333333333</v>
      </c>
      <c r="G17" s="10">
        <f t="shared" si="1"/>
        <v>0.03125</v>
      </c>
    </row>
    <row r="18" spans="1:7" ht="12.75">
      <c r="A18" t="s">
        <v>99</v>
      </c>
      <c r="B18" s="9">
        <v>23333.333333333336</v>
      </c>
      <c r="C18" s="10">
        <f t="shared" si="0"/>
        <v>0.006222222222222224</v>
      </c>
      <c r="E18" t="s">
        <v>100</v>
      </c>
      <c r="F18" s="9">
        <v>116666.66666666666</v>
      </c>
      <c r="G18" s="10">
        <f t="shared" si="1"/>
        <v>0.04375</v>
      </c>
    </row>
    <row r="19" spans="1:7" ht="12.75">
      <c r="A19" t="s">
        <v>101</v>
      </c>
      <c r="B19" s="9">
        <v>16666.666666666668</v>
      </c>
      <c r="C19" s="10">
        <f t="shared" si="0"/>
        <v>0.004444444444444445</v>
      </c>
      <c r="E19" t="s">
        <v>102</v>
      </c>
      <c r="F19" s="9">
        <v>100000</v>
      </c>
      <c r="G19" s="10">
        <f t="shared" si="1"/>
        <v>0.037500000000000006</v>
      </c>
    </row>
    <row r="20" spans="1:3" ht="12.75">
      <c r="A20" t="s">
        <v>103</v>
      </c>
      <c r="B20" s="9">
        <v>37500</v>
      </c>
      <c r="C20" s="10">
        <f t="shared" si="0"/>
        <v>0.010000000000000002</v>
      </c>
    </row>
    <row r="21" ht="12.75">
      <c r="C21" s="10"/>
    </row>
    <row r="22" spans="1:7" ht="12.75">
      <c r="A22" s="1" t="s">
        <v>104</v>
      </c>
      <c r="B22" s="9">
        <f>SUM(B12:B21)</f>
        <v>1682499.9999999998</v>
      </c>
      <c r="C22" s="10">
        <f>B22/($B$43)</f>
        <v>0.44866666666666666</v>
      </c>
      <c r="E22" s="1" t="s">
        <v>104</v>
      </c>
      <c r="F22" s="9">
        <v>1926666.6666666665</v>
      </c>
      <c r="G22" s="10">
        <f>F22/($F$43)</f>
        <v>0.7225</v>
      </c>
    </row>
    <row r="23" ht="12.75">
      <c r="C23" s="10"/>
    </row>
    <row r="24" spans="1:7" ht="12.75">
      <c r="A24" s="1" t="s">
        <v>105</v>
      </c>
      <c r="C24" s="10"/>
      <c r="E24" s="1" t="s">
        <v>106</v>
      </c>
      <c r="F24" s="9">
        <v>740000</v>
      </c>
      <c r="G24" s="10">
        <f>F24/($F$43)</f>
        <v>0.2775</v>
      </c>
    </row>
    <row r="25" ht="12.75">
      <c r="C25" s="10"/>
    </row>
    <row r="26" spans="1:3" ht="12.75">
      <c r="A26" t="s">
        <v>107</v>
      </c>
      <c r="B26" s="9">
        <v>500000</v>
      </c>
      <c r="C26" s="10">
        <f aca="true" t="shared" si="2" ref="C26:C35">B26/($B$43)</f>
        <v>0.13333333333333336</v>
      </c>
    </row>
    <row r="27" spans="1:3" ht="12.75">
      <c r="A27" t="s">
        <v>108</v>
      </c>
      <c r="B27" s="9">
        <v>333333.3333333333</v>
      </c>
      <c r="C27" s="10">
        <f t="shared" si="2"/>
        <v>0.08888888888888889</v>
      </c>
    </row>
    <row r="28" spans="1:3" ht="12.75">
      <c r="A28" t="s">
        <v>109</v>
      </c>
      <c r="B28" s="9">
        <v>41666.666666666664</v>
      </c>
      <c r="C28" s="10">
        <f t="shared" si="2"/>
        <v>0.011111111111111112</v>
      </c>
    </row>
    <row r="29" spans="1:3" ht="12.75">
      <c r="A29" t="s">
        <v>110</v>
      </c>
      <c r="B29" s="9">
        <v>191666.66666666666</v>
      </c>
      <c r="C29" s="10">
        <f t="shared" si="2"/>
        <v>0.051111111111111114</v>
      </c>
    </row>
    <row r="30" spans="1:3" ht="12.75">
      <c r="A30" t="s">
        <v>111</v>
      </c>
      <c r="B30" s="9">
        <v>120000</v>
      </c>
      <c r="C30" s="10">
        <f t="shared" si="2"/>
        <v>0.032</v>
      </c>
    </row>
    <row r="31" spans="1:3" ht="12.75">
      <c r="A31" t="s">
        <v>112</v>
      </c>
      <c r="B31" s="9">
        <v>41666.666666666664</v>
      </c>
      <c r="C31" s="10">
        <f t="shared" si="2"/>
        <v>0.011111111111111112</v>
      </c>
    </row>
    <row r="32" spans="1:3" ht="12.75">
      <c r="A32" t="s">
        <v>113</v>
      </c>
      <c r="B32" s="9">
        <v>41666.666666666664</v>
      </c>
      <c r="C32" s="10">
        <f t="shared" si="2"/>
        <v>0.011111111111111112</v>
      </c>
    </row>
    <row r="33" spans="1:3" ht="12.75">
      <c r="A33" t="s">
        <v>114</v>
      </c>
      <c r="B33" s="9">
        <v>41666.666666666664</v>
      </c>
      <c r="C33" s="10">
        <f t="shared" si="2"/>
        <v>0.011111111111111112</v>
      </c>
    </row>
    <row r="34" spans="1:3" ht="12.75">
      <c r="A34" t="s">
        <v>115</v>
      </c>
      <c r="B34" s="9">
        <v>29166.666666666664</v>
      </c>
      <c r="C34" s="10">
        <f t="shared" si="2"/>
        <v>0.007777777777777778</v>
      </c>
    </row>
    <row r="35" spans="1:3" ht="12.75">
      <c r="A35" t="s">
        <v>116</v>
      </c>
      <c r="B35" s="9">
        <v>33333.333333333336</v>
      </c>
      <c r="C35" s="10">
        <f t="shared" si="2"/>
        <v>0.00888888888888889</v>
      </c>
    </row>
    <row r="36" ht="12.75">
      <c r="C36" s="10"/>
    </row>
    <row r="37" spans="1:3" ht="12.75">
      <c r="A37" s="1" t="s">
        <v>117</v>
      </c>
      <c r="B37" s="9">
        <f>SUM(B26:B36)</f>
        <v>1374166.6666666667</v>
      </c>
      <c r="C37" s="10">
        <f>B37/($B$43)</f>
        <v>0.3664444444444445</v>
      </c>
    </row>
    <row r="38" ht="12.75">
      <c r="C38" s="8"/>
    </row>
    <row r="39" spans="1:3" ht="12.75">
      <c r="A39" t="s">
        <v>118</v>
      </c>
      <c r="B39" s="9">
        <v>26666.666666666668</v>
      </c>
      <c r="C39" s="10">
        <f>B39/($B$43)</f>
        <v>0.007111111111111112</v>
      </c>
    </row>
    <row r="40" ht="12.75">
      <c r="C40" s="10"/>
    </row>
    <row r="41" spans="1:3" ht="12.75">
      <c r="A41" s="1" t="s">
        <v>119</v>
      </c>
      <c r="B41" s="9">
        <v>666666.6666666666</v>
      </c>
      <c r="C41" s="10">
        <f>B41/($B$43)</f>
        <v>0.17777777777777778</v>
      </c>
    </row>
    <row r="42" ht="12.75">
      <c r="C42" s="10"/>
    </row>
    <row r="43" spans="1:7" ht="12.75">
      <c r="A43" s="1" t="s">
        <v>120</v>
      </c>
      <c r="B43" s="7">
        <f>B22+B37+B39+B41</f>
        <v>3749999.9999999995</v>
      </c>
      <c r="C43" s="10">
        <f>B43/($B$43)</f>
        <v>1</v>
      </c>
      <c r="F43" s="7">
        <f>SUM(F22:F42)</f>
        <v>2666666.6666666665</v>
      </c>
      <c r="G43" s="10">
        <f>F43/($F$43)</f>
        <v>1</v>
      </c>
    </row>
    <row r="44" ht="12.75">
      <c r="G44"/>
    </row>
    <row r="45" ht="12.75">
      <c r="G45"/>
    </row>
    <row r="46" ht="12.75">
      <c r="G46"/>
    </row>
    <row r="49" spans="1:2" ht="12.75">
      <c r="A49" s="1" t="s">
        <v>57</v>
      </c>
      <c r="B49" s="9" t="s">
        <v>121</v>
      </c>
    </row>
    <row r="50" ht="12.75">
      <c r="B50" s="9" t="s">
        <v>122</v>
      </c>
    </row>
    <row r="51" ht="12.75">
      <c r="B51" s="9" t="s">
        <v>123</v>
      </c>
    </row>
    <row r="52" ht="12.75">
      <c r="B52" s="9" t="s">
        <v>124</v>
      </c>
    </row>
    <row r="53" ht="12.75">
      <c r="B53" s="9" t="s">
        <v>125</v>
      </c>
    </row>
    <row r="54" ht="12.75">
      <c r="B54" s="9" t="s">
        <v>126</v>
      </c>
    </row>
    <row r="55" ht="12.75">
      <c r="B55" s="9" t="s">
        <v>127</v>
      </c>
    </row>
    <row r="56" ht="12.75">
      <c r="B56" s="9" t="s">
        <v>128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History Department </dc:creator>
  <cp:keywords/>
  <dc:description/>
  <cp:lastModifiedBy>History Department </cp:lastModifiedBy>
  <dcterms:created xsi:type="dcterms:W3CDTF">2001-06-06T14:36:56Z</dcterms:created>
  <dcterms:modified xsi:type="dcterms:W3CDTF">2001-06-06T14:39:54Z</dcterms:modified>
  <cp:category/>
  <cp:version/>
  <cp:contentType/>
  <cp:contentStatus/>
</cp:coreProperties>
</file>